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Лист1" sheetId="1" r:id="rId1"/>
    <sheet name="Лист2" sheetId="2" r:id="rId2"/>
  </sheets>
  <definedNames>
    <definedName name="_xlnm.Print_Area" localSheetId="0">'Лист1'!$A$1:$J$58</definedName>
  </definedNames>
  <calcPr fullCalcOnLoad="1"/>
</workbook>
</file>

<file path=xl/comments1.xml><?xml version="1.0" encoding="utf-8"?>
<comments xmlns="http://schemas.openxmlformats.org/spreadsheetml/2006/main">
  <authors>
    <author>Михалыч</author>
    <author>NONE</author>
    <author>Vladimir Mikhaliov</author>
    <author>Doctor Death</author>
    <author>Иван</author>
  </authors>
  <commentList>
    <comment ref="C4" authorId="0">
      <text>
        <r>
          <rPr>
            <b/>
            <i/>
            <sz val="8"/>
            <rFont val="Tahoma"/>
            <family val="0"/>
          </rPr>
          <t>Заглавными
буквами!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G7" authorId="2">
      <text>
        <r>
          <rPr>
            <b/>
            <i/>
            <sz val="8"/>
            <rFont val="Tahoma"/>
            <family val="0"/>
          </rPr>
          <t>Дата  выдачи</t>
        </r>
      </text>
    </comment>
    <comment ref="H7" authorId="0">
      <text>
        <r>
          <rPr>
            <b/>
            <i/>
            <sz val="8"/>
            <rFont val="Tahoma"/>
            <family val="0"/>
          </rPr>
          <t>Название, печать или штамп организации и подпись ответственного лица.</t>
        </r>
        <r>
          <rPr>
            <sz val="8"/>
            <rFont val="Tahoma"/>
            <family val="0"/>
          </rPr>
          <t xml:space="preserve">
</t>
        </r>
      </text>
    </comment>
    <comment ref="A21" authorId="2">
      <text>
        <r>
          <rPr>
            <b/>
            <i/>
            <sz val="8"/>
            <rFont val="Tahoma"/>
            <family val="0"/>
          </rPr>
          <t>Вписать сюда: "Поворотный бушприт", если он установлен на яхте!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i/>
            <sz val="8"/>
            <rFont val="Tahoma"/>
            <family val="0"/>
          </rPr>
          <t>Не пытайтесь заполнять!
Только для справки и контроля:</t>
        </r>
        <r>
          <rPr>
            <i/>
            <sz val="8"/>
            <rFont val="Tahoma"/>
            <family val="0"/>
          </rPr>
          <t xml:space="preserve">
Бригантина, Кеч, Шхуна  0.90
Иол                                0.95 
Кэт, Тендер, Шлюп         1.00     
        </t>
        </r>
      </text>
    </comment>
    <comment ref="F24" authorId="0">
      <text>
        <r>
          <rPr>
            <i/>
            <sz val="8"/>
            <rFont val="Tahoma"/>
            <family val="0"/>
          </rPr>
          <t>Не пытайтесь заполнять!
Только для справки и контроля:</t>
        </r>
        <r>
          <rPr>
            <i/>
            <sz val="8"/>
            <rFont val="Tahoma"/>
            <family val="0"/>
          </rPr>
          <t xml:space="preserve">
Со спинакером    1.0
Без спинакера    0.8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i/>
            <sz val="8"/>
            <rFont val="Tahoma"/>
            <family val="0"/>
          </rPr>
          <t>Не пытайтесь заполнять!
Только для справки и контроля:</t>
        </r>
        <r>
          <rPr>
            <i/>
            <sz val="8"/>
            <rFont val="Tahoma"/>
            <family val="0"/>
          </rPr>
          <t xml:space="preserve">
Плавниковый                0.16
Шверт  0.16*GMAX2/GMAX1
Глубокий                      0.30
Брусковый                    0.36
</t>
        </r>
        <r>
          <rPr>
            <sz val="8"/>
            <rFont val="Tahoma"/>
            <family val="0"/>
          </rPr>
          <t xml:space="preserve">
</t>
        </r>
      </text>
    </comment>
    <comment ref="J24" authorId="0">
      <text>
        <r>
          <rPr>
            <i/>
            <sz val="8"/>
            <rFont val="Tahoma"/>
            <family val="0"/>
          </rPr>
          <t>Не пытайтесь заполнять!
Только для справки и контроля:</t>
        </r>
        <r>
          <rPr>
            <i/>
            <sz val="8"/>
            <rFont val="Tahoma"/>
            <family val="0"/>
          </rPr>
          <t xml:space="preserve">
Без винта           1.000</t>
        </r>
        <r>
          <rPr>
            <sz val="8"/>
            <rFont val="Tahoma"/>
            <family val="0"/>
          </rPr>
          <t xml:space="preserve"> 
</t>
        </r>
        <r>
          <rPr>
            <i/>
            <sz val="8"/>
            <rFont val="Tahoma"/>
            <family val="0"/>
          </rPr>
          <t xml:space="preserve">                     Вне выреза  В вырезе
Складной             0.990        0.995
Поворотный         0.980        0.990   
Жёсткий 2-лоп.    0.960        0.980
Жёсткий 3-4-лоп. 0.940        0.960
</t>
        </r>
      </text>
    </comment>
    <comment ref="J27" authorId="3">
      <text>
        <r>
          <rPr>
            <i/>
            <sz val="8"/>
            <rFont val="Tahoma"/>
            <family val="2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J28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J30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J31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J32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J33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J34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J35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J36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J37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J38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J39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D40" authorId="2">
      <text>
        <r>
          <rPr>
            <i/>
            <sz val="8"/>
            <rFont val="Tahoma"/>
            <family val="0"/>
          </rPr>
          <t xml:space="preserve">Если это </t>
        </r>
        <r>
          <rPr>
            <b/>
            <i/>
            <sz val="8"/>
            <rFont val="Tahoma"/>
            <family val="0"/>
          </rPr>
          <t xml:space="preserve">EFC </t>
        </r>
        <r>
          <rPr>
            <i/>
            <sz val="8"/>
            <rFont val="Tahoma"/>
            <family val="0"/>
          </rPr>
          <t xml:space="preserve">или </t>
        </r>
        <r>
          <rPr>
            <b/>
            <i/>
            <sz val="8"/>
            <rFont val="Tahoma"/>
            <family val="0"/>
          </rPr>
          <t>EYC</t>
        </r>
        <r>
          <rPr>
            <i/>
            <sz val="8"/>
            <rFont val="Tahoma"/>
            <family val="0"/>
          </rPr>
          <t>,
не заполнять!</t>
        </r>
        <r>
          <rPr>
            <sz val="8"/>
            <rFont val="Tahoma"/>
            <family val="0"/>
          </rPr>
          <t xml:space="preserve">
</t>
        </r>
      </text>
    </comment>
    <comment ref="J40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B42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J42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B43" authorId="1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J43" authorId="0">
      <text>
        <r>
          <rPr>
            <sz val="8"/>
            <rFont val="Tahoma"/>
            <family val="0"/>
          </rPr>
          <t xml:space="preserve">%
</t>
        </r>
      </text>
    </comment>
    <comment ref="C52" authorId="0">
      <text>
        <r>
          <rPr>
            <i/>
            <sz val="8"/>
            <rFont val="Tahoma"/>
            <family val="0"/>
          </rPr>
          <t>См. Лист2</t>
        </r>
      </text>
    </comment>
    <comment ref="F25" authorId="2">
      <text>
        <r>
          <rPr>
            <i/>
            <sz val="8"/>
            <rFont val="Tahoma"/>
            <family val="0"/>
          </rPr>
          <t>Измеряется только на яхтах со швертом при поднятом шверте!</t>
        </r>
        <r>
          <rPr>
            <sz val="8"/>
            <rFont val="Tahoma"/>
            <family val="0"/>
          </rPr>
          <t xml:space="preserve">
</t>
        </r>
      </text>
    </comment>
    <comment ref="F26" authorId="2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B40" authorId="1">
      <text>
        <r>
          <rPr>
            <i/>
            <sz val="8"/>
            <rFont val="Tahoma"/>
            <family val="0"/>
          </rPr>
          <t xml:space="preserve">Если это </t>
        </r>
        <r>
          <rPr>
            <b/>
            <i/>
            <sz val="8"/>
            <rFont val="Tahoma"/>
            <family val="0"/>
          </rPr>
          <t>EC</t>
        </r>
        <r>
          <rPr>
            <i/>
            <sz val="8"/>
            <rFont val="Tahoma"/>
            <family val="0"/>
          </rPr>
          <t>,
не заполнять!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i/>
            <sz val="8"/>
            <rFont val="Tahoma"/>
            <family val="0"/>
          </rPr>
          <t xml:space="preserve">Не спешите  портить бланк! Снимите копию и делайте с ней, что хотите. 
Но лучше сначала ознакомьтесь 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0"/>
          </rPr>
          <t xml:space="preserve">с </t>
        </r>
        <r>
          <rPr>
            <b/>
            <i/>
            <sz val="8"/>
            <rFont val="Tahoma"/>
            <family val="0"/>
          </rPr>
          <t>Инструкуией</t>
        </r>
        <r>
          <rPr>
            <i/>
            <sz val="8"/>
            <rFont val="Tahoma"/>
            <family val="0"/>
          </rPr>
          <t xml:space="preserve">, прилагаемой к программе </t>
        </r>
        <r>
          <rPr>
            <b/>
            <i/>
            <sz val="8"/>
            <rFont val="Tahoma"/>
            <family val="0"/>
          </rPr>
          <t>Ublanc8.</t>
        </r>
      </text>
    </comment>
    <comment ref="H13" authorId="0">
      <text>
        <r>
          <rPr>
            <sz val="8"/>
            <rFont val="Tahoma"/>
            <family val="0"/>
          </rPr>
          <t>См. Лист2</t>
        </r>
      </text>
    </comment>
    <comment ref="H15" authorId="0">
      <text>
        <r>
          <rPr>
            <sz val="8"/>
            <rFont val="Tahoma"/>
            <family val="0"/>
          </rPr>
          <t>См. Лист2</t>
        </r>
      </text>
    </comment>
    <comment ref="H18" authorId="0">
      <text>
        <r>
          <rPr>
            <sz val="8"/>
            <rFont val="Tahoma"/>
            <family val="0"/>
          </rPr>
          <t>См. Лист2</t>
        </r>
      </text>
    </comment>
    <comment ref="H40" authorId="2">
      <text>
        <r>
          <rPr>
            <i/>
            <sz val="8"/>
            <rFont val="Tahoma"/>
            <family val="0"/>
          </rPr>
          <t>Не заполнять!</t>
        </r>
        <r>
          <rPr>
            <sz val="8"/>
            <rFont val="Tahoma"/>
            <family val="0"/>
          </rPr>
          <t xml:space="preserve">
</t>
        </r>
      </text>
    </comment>
    <comment ref="H39" authorId="4">
      <text>
        <r>
          <rPr>
            <i/>
            <sz val="8"/>
            <rFont val="Tahoma"/>
            <family val="2"/>
          </rPr>
          <t>Не заполнять!</t>
        </r>
      </text>
    </comment>
    <comment ref="H38" authorId="4">
      <text>
        <r>
          <rPr>
            <i/>
            <sz val="8"/>
            <rFont val="Tahoma"/>
            <family val="2"/>
          </rPr>
          <t>Не заполнять!</t>
        </r>
      </text>
    </comment>
    <comment ref="I4" authorId="0">
      <text>
        <r>
          <rPr>
            <i/>
            <sz val="8"/>
            <rFont val="Tahoma"/>
            <family val="0"/>
          </rPr>
          <t>Если надо, вставьте
другой номер.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i/>
            <sz val="8"/>
            <rFont val="Tahoma"/>
            <family val="0"/>
          </rPr>
          <t>Если надо, вставьте
другой номер.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i/>
            <sz val="8"/>
            <rFont val="Tahoma"/>
            <family val="0"/>
          </rPr>
          <t>Индекс Населённый пункт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i/>
            <sz val="8"/>
            <rFont val="Tahoma"/>
            <family val="0"/>
          </rPr>
          <t>Адрес</t>
        </r>
      </text>
    </comment>
    <comment ref="H16" authorId="0">
      <text>
        <r>
          <rPr>
            <i/>
            <sz val="10"/>
            <rFont val="Tahoma"/>
            <family val="2"/>
          </rPr>
          <t>Шпаргалка</t>
        </r>
        <r>
          <rPr>
            <sz val="10"/>
            <rFont val="Tahoma"/>
            <family val="0"/>
          </rPr>
          <t xml:space="preserve">
</t>
        </r>
      </text>
    </comment>
    <comment ref="H17" authorId="0">
      <text>
        <r>
          <rPr>
            <i/>
            <sz val="10"/>
            <rFont val="Tahoma"/>
            <family val="2"/>
          </rPr>
          <t>Шпаргалка</t>
        </r>
        <r>
          <rPr>
            <sz val="10"/>
            <rFont val="Tahoma"/>
            <family val="0"/>
          </rPr>
          <t xml:space="preserve">
</t>
        </r>
      </text>
    </comment>
    <comment ref="B28" authorId="0">
      <text>
        <r>
          <rPr>
            <i/>
            <sz val="10"/>
            <rFont val="Tahoma"/>
            <family val="2"/>
          </rPr>
          <t>Если OHAT= 0,  введите
значение AGO!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Михалыч</author>
  </authors>
  <commentList>
    <comment ref="G2" authorId="0">
      <text>
        <r>
          <rPr>
            <i/>
            <sz val="8"/>
            <rFont val="Tahoma"/>
            <family val="0"/>
          </rPr>
          <t>Шпаргалка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<sst xmlns="http://schemas.openxmlformats.org/spreadsheetml/2006/main" count="230" uniqueCount="200">
  <si>
    <t xml:space="preserve">                 МЕРИТЕЛЬНОЕ СВИДЕТЕЛЬСТВО N</t>
  </si>
  <si>
    <t xml:space="preserve">                </t>
  </si>
  <si>
    <t xml:space="preserve">               крейсерской яхты по Упрощённым правилам обмера УПО-2008</t>
  </si>
  <si>
    <t xml:space="preserve">      Название яхты </t>
  </si>
  <si>
    <t xml:space="preserve"> </t>
  </si>
  <si>
    <t>Регистрационный номер</t>
  </si>
  <si>
    <t>Обозначение на парусе</t>
  </si>
  <si>
    <t xml:space="preserve">    ГОНОЧНЫЙ БАЛЛ</t>
  </si>
  <si>
    <t>Срок действия</t>
  </si>
  <si>
    <t>31.12.</t>
  </si>
  <si>
    <t xml:space="preserve">       Со спинакером</t>
  </si>
  <si>
    <t xml:space="preserve">  Без спинакера</t>
  </si>
  <si>
    <t xml:space="preserve">Выдано </t>
  </si>
  <si>
    <t xml:space="preserve">Подтверждаю свою ответственность </t>
  </si>
  <si>
    <t>за соблюдение Правил</t>
  </si>
  <si>
    <t xml:space="preserve">       Владелец яхты</t>
  </si>
  <si>
    <t>подпись</t>
  </si>
  <si>
    <t>Тип и заводской N</t>
  </si>
  <si>
    <t>Год постройки</t>
  </si>
  <si>
    <t>Наименование владельца</t>
  </si>
  <si>
    <t xml:space="preserve">                 </t>
  </si>
  <si>
    <t>Строитель</t>
  </si>
  <si>
    <t>Вооружение</t>
  </si>
  <si>
    <t>Адрес</t>
  </si>
  <si>
    <t>Киль</t>
  </si>
  <si>
    <t>Двигатель</t>
  </si>
  <si>
    <t>Винт</t>
  </si>
  <si>
    <t xml:space="preserve">Примечания </t>
  </si>
  <si>
    <t xml:space="preserve">Коэффициенты </t>
  </si>
  <si>
    <r>
      <t xml:space="preserve">    Вооружения    </t>
    </r>
    <r>
      <rPr>
        <b/>
        <sz val="10"/>
        <rFont val="Arial Cyr"/>
        <family val="2"/>
      </rPr>
      <t>RF</t>
    </r>
    <r>
      <rPr>
        <sz val="10"/>
        <rFont val="Arial Cyr"/>
        <family val="0"/>
      </rPr>
      <t xml:space="preserve">       </t>
    </r>
  </si>
  <si>
    <r>
      <t xml:space="preserve">    Спинакера    </t>
    </r>
    <r>
      <rPr>
        <b/>
        <sz val="10"/>
        <rFont val="Arial Cyr"/>
        <family val="2"/>
      </rPr>
      <t>SPF</t>
    </r>
  </si>
  <si>
    <r>
      <t xml:space="preserve">  Киля   </t>
    </r>
    <r>
      <rPr>
        <b/>
        <sz val="10"/>
        <rFont val="Arial Cyr"/>
        <family val="2"/>
      </rPr>
      <t>KF</t>
    </r>
    <r>
      <rPr>
        <sz val="10"/>
        <rFont val="Arial Cyr"/>
        <family val="0"/>
      </rPr>
      <t xml:space="preserve"> </t>
    </r>
  </si>
  <si>
    <r>
      <t xml:space="preserve">Винта   </t>
    </r>
    <r>
      <rPr>
        <b/>
        <sz val="10"/>
        <rFont val="Arial Cyr"/>
        <family val="2"/>
      </rPr>
      <t>PF</t>
    </r>
  </si>
  <si>
    <t xml:space="preserve">Корпус </t>
  </si>
  <si>
    <t>GMAX2</t>
  </si>
  <si>
    <t xml:space="preserve">   ∆B1</t>
  </si>
  <si>
    <t xml:space="preserve">   ∆B2</t>
  </si>
  <si>
    <t>LOA</t>
  </si>
  <si>
    <t>OHAT</t>
  </si>
  <si>
    <t>G</t>
  </si>
  <si>
    <t>FS</t>
  </si>
  <si>
    <t>BMAX</t>
  </si>
  <si>
    <t>FGO</t>
  </si>
  <si>
    <t>HA</t>
  </si>
  <si>
    <t>SGMAX</t>
  </si>
  <si>
    <t>FG1</t>
  </si>
  <si>
    <t>BWL</t>
  </si>
  <si>
    <t>AGO</t>
  </si>
  <si>
    <t>GMAX1</t>
  </si>
  <si>
    <t>SBMAX</t>
  </si>
  <si>
    <t>FG2</t>
  </si>
  <si>
    <t>L</t>
  </si>
  <si>
    <t>Грот</t>
  </si>
  <si>
    <t>Площади парусов</t>
  </si>
  <si>
    <t>E</t>
  </si>
  <si>
    <t>SAM</t>
  </si>
  <si>
    <t>S</t>
  </si>
  <si>
    <t>SC</t>
  </si>
  <si>
    <t xml:space="preserve">Штрафы </t>
  </si>
  <si>
    <t>NRP</t>
  </si>
  <si>
    <t xml:space="preserve">Дополнительные данные (вес/ёмкость и расстояние от носа) </t>
  </si>
  <si>
    <t>Внутренний балласт</t>
  </si>
  <si>
    <t>Якорь 1</t>
  </si>
  <si>
    <t>Якорь 2</t>
  </si>
  <si>
    <t>Аккумулятор</t>
  </si>
  <si>
    <t>Топл. бак</t>
  </si>
  <si>
    <t>Вод. бак</t>
  </si>
  <si>
    <t>Результаты расчёта</t>
  </si>
  <si>
    <t>R</t>
  </si>
  <si>
    <t>A</t>
  </si>
  <si>
    <t>B</t>
  </si>
  <si>
    <t>C</t>
  </si>
  <si>
    <t>MP</t>
  </si>
  <si>
    <t xml:space="preserve"> гоночного балла и </t>
  </si>
  <si>
    <t>Со спинакером</t>
  </si>
  <si>
    <t xml:space="preserve">коэффициентов TOTD </t>
  </si>
  <si>
    <t>Без спинакера</t>
  </si>
  <si>
    <t xml:space="preserve">          Меритель  N </t>
  </si>
  <si>
    <t xml:space="preserve">          Дата обмера</t>
  </si>
  <si>
    <t xml:space="preserve">          Дата расчёта</t>
  </si>
  <si>
    <t xml:space="preserve">          Штамп мерителя</t>
  </si>
  <si>
    <t xml:space="preserve">             Отметки о продлении на обратной стороне!</t>
  </si>
  <si>
    <t>*</t>
  </si>
  <si>
    <t>Меритель</t>
  </si>
  <si>
    <t>Бермудский кэт</t>
  </si>
  <si>
    <t>Складной</t>
  </si>
  <si>
    <t>АЛ-550 N</t>
  </si>
  <si>
    <t>Аэромарин</t>
  </si>
  <si>
    <t>11   В.И.Михалёв</t>
  </si>
  <si>
    <t>Бермудский шлюп</t>
  </si>
  <si>
    <t>Поворотный</t>
  </si>
  <si>
    <t>Ассоль N</t>
  </si>
  <si>
    <t>Верфь им. Д.Конрада</t>
  </si>
  <si>
    <t>33   Ю.Ф.Правдин</t>
  </si>
  <si>
    <t>Бермудский иол</t>
  </si>
  <si>
    <t>Жёсткий 2-лоп.</t>
  </si>
  <si>
    <t>Индивид. проект</t>
  </si>
  <si>
    <t>Верфь им. Л.Телиги</t>
  </si>
  <si>
    <t>40   В.А.Комиссаров</t>
  </si>
  <si>
    <t>Бермудский кеч</t>
  </si>
  <si>
    <t>Жёсткий 3-4-лоп.</t>
  </si>
  <si>
    <t>Карина N</t>
  </si>
  <si>
    <t>Завод "Авангард"</t>
  </si>
  <si>
    <t>50   М.В.Кольцов</t>
  </si>
  <si>
    <t>Бермудский тендер</t>
  </si>
  <si>
    <t>Складной в вырезе</t>
  </si>
  <si>
    <t>Картер-30 N</t>
  </si>
  <si>
    <t>ЛЭЗСС</t>
  </si>
  <si>
    <t>74   Л.Н.Лесневский</t>
  </si>
  <si>
    <t>Бермудская шхуна</t>
  </si>
  <si>
    <t>Поворотный в вырезе</t>
  </si>
  <si>
    <t>Конрад-24 N</t>
  </si>
  <si>
    <t>ЛЭС</t>
  </si>
  <si>
    <t>78   Н.Л.Сухов</t>
  </si>
  <si>
    <t>Гафельный кэт</t>
  </si>
  <si>
    <t>Жёсткий 2-лоп. в вырезе</t>
  </si>
  <si>
    <t>Конрад-25 Р N</t>
  </si>
  <si>
    <t>НПО "Волна"</t>
  </si>
  <si>
    <t>92   Е.Б.Хромченко</t>
  </si>
  <si>
    <t>Гафельный шлюп</t>
  </si>
  <si>
    <t>Жёсткий 3-4-лоп. в вырезе</t>
  </si>
  <si>
    <t>Конрад-25 РТ N</t>
  </si>
  <si>
    <t>НПО Машиностроение</t>
  </si>
  <si>
    <t>142  А.И.Федоркин</t>
  </si>
  <si>
    <t>Гафельный иол</t>
  </si>
  <si>
    <t>Конрад-25 Т N</t>
  </si>
  <si>
    <t>ООО "РИВМАР"</t>
  </si>
  <si>
    <t>166  И.С.Пронин</t>
  </si>
  <si>
    <t>Гафельный кеч</t>
  </si>
  <si>
    <t xml:space="preserve">Микро-рейсинг N </t>
  </si>
  <si>
    <t>ООО "Ричер"</t>
  </si>
  <si>
    <t>170  А.Е.Туркин</t>
  </si>
  <si>
    <t>Гафельный тендер</t>
  </si>
  <si>
    <t>Ветерок-8</t>
  </si>
  <si>
    <t xml:space="preserve">Микро спорт-тур. N </t>
  </si>
  <si>
    <t>СНСЗ</t>
  </si>
  <si>
    <t>171  С.А.Николаев</t>
  </si>
  <si>
    <t>Гафельная шхуна</t>
  </si>
  <si>
    <t>Ветерок-8М</t>
  </si>
  <si>
    <t>Нева N</t>
  </si>
  <si>
    <t>Совмаркет</t>
  </si>
  <si>
    <t>188  С.Л.Шпади</t>
  </si>
  <si>
    <t>Берм. шхуна с гаф. фоком</t>
  </si>
  <si>
    <t>Ветерок-8Э</t>
  </si>
  <si>
    <t>Нева-2 N</t>
  </si>
  <si>
    <t>СПЭВ</t>
  </si>
  <si>
    <t>200  В.С.Фиников</t>
  </si>
  <si>
    <t>Гаф. иол с берм. бизанью</t>
  </si>
  <si>
    <t>Ветерок-8У</t>
  </si>
  <si>
    <t>Нефрит N</t>
  </si>
  <si>
    <t>ТЭВСС</t>
  </si>
  <si>
    <t>205  В.В.Исаев</t>
  </si>
  <si>
    <t>Гаф. кеч с берм. бизанью</t>
  </si>
  <si>
    <t>Ветерок-12</t>
  </si>
  <si>
    <t xml:space="preserve">ЛЭС-22  N </t>
  </si>
  <si>
    <t>Ярполимермаш</t>
  </si>
  <si>
    <t>208  Г.Я.Труханов</t>
  </si>
  <si>
    <t>Стаксельная шхуна</t>
  </si>
  <si>
    <t>Салют</t>
  </si>
  <si>
    <t>Опти-71A N</t>
  </si>
  <si>
    <t>ЭЗСС</t>
  </si>
  <si>
    <t>209  В.В.Алексеев</t>
  </si>
  <si>
    <t>Стаксельный кеч</t>
  </si>
  <si>
    <t>Evinrude</t>
  </si>
  <si>
    <t>Опти-91 N</t>
  </si>
  <si>
    <t>210  Л.В.Алейников</t>
  </si>
  <si>
    <t>Стакс. шхуна с гаф. гротом</t>
  </si>
  <si>
    <t>Johnson</t>
  </si>
  <si>
    <t xml:space="preserve">Рикошет-Микро N </t>
  </si>
  <si>
    <t>211  Г.Н.Павлов</t>
  </si>
  <si>
    <t>Стакс. кеч с гаф. гротом</t>
  </si>
  <si>
    <t>Mariner-10</t>
  </si>
  <si>
    <t xml:space="preserve">Рикошет-550 N </t>
  </si>
  <si>
    <t>213  Ю.Н.Чикалов</t>
  </si>
  <si>
    <t>Бермудская бригантина</t>
  </si>
  <si>
    <t>Mercury-3.3</t>
  </si>
  <si>
    <t>Рикошет-900 N</t>
  </si>
  <si>
    <t>214  А.А.Авдонин</t>
  </si>
  <si>
    <t>Гафельная бригантина</t>
  </si>
  <si>
    <t>Mercury-4</t>
  </si>
  <si>
    <t>СТ-25 N</t>
  </si>
  <si>
    <t>215  Ю.И.Горбатов</t>
  </si>
  <si>
    <t>Марсельная шхуна</t>
  </si>
  <si>
    <t>VOLVO-PENTA</t>
  </si>
  <si>
    <t>Телига-89 N</t>
  </si>
  <si>
    <t>216  А.О.Маслов</t>
  </si>
  <si>
    <t>Марс. шхуна с берм. гротом</t>
  </si>
  <si>
    <t>Телига-104 N</t>
  </si>
  <si>
    <t>279  М.А.Чайкин</t>
  </si>
  <si>
    <t>Плавниковый</t>
  </si>
  <si>
    <t>Глубокий</t>
  </si>
  <si>
    <t>Брусковый</t>
  </si>
  <si>
    <t>Шверт</t>
  </si>
  <si>
    <t>RUS 888</t>
  </si>
  <si>
    <t>VESTA</t>
  </si>
  <si>
    <t>1993</t>
  </si>
  <si>
    <t xml:space="preserve">BOAT BUILDING CO.LTD. TAIPEI, TAWAN </t>
  </si>
  <si>
    <t>LEHMAN SABRE SP135</t>
  </si>
  <si>
    <t xml:space="preserve"> FORMOSA-56 No.570091191</t>
  </si>
  <si>
    <t>РОССИЯ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</si>
</sst>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  <numFmt numFmtId="166" formatCode="0.0%"/>
    <numFmt numFmtId="167" formatCode="0.0"/>
    <numFmt numFmtId="16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10"/>
      <color indexed="9"/>
      <name val="Arial Cyr"/>
      <family val="2"/>
    </font>
    <font>
      <i/>
      <sz val="8"/>
      <name val="Tahoma"/>
      <family val="0"/>
    </font>
    <font>
      <sz val="8"/>
      <name val="Tahoma"/>
      <family val="0"/>
    </font>
    <font>
      <b/>
      <i/>
      <sz val="8"/>
      <name val="Tahoma"/>
      <family val="0"/>
    </font>
    <font>
      <sz val="8"/>
      <name val="Arial Cyr"/>
      <family val="0"/>
    </font>
    <font>
      <b/>
      <sz val="10"/>
      <color indexed="9"/>
      <name val="Arial Cyr"/>
      <family val="2"/>
    </font>
    <font>
      <b/>
      <sz val="12"/>
      <name val="Arial Cyr"/>
      <family val="2"/>
    </font>
    <font>
      <i/>
      <sz val="10"/>
      <name val="Tahoma"/>
      <family val="2"/>
    </font>
    <font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>
      <alignment horizontal="left"/>
    </xf>
    <xf numFmtId="0" fontId="0" fillId="0" borderId="0" xfId="0" applyNumberFormat="1" applyFont="1" applyFill="1" applyBorder="1" applyAlignment="1">
      <alignment/>
    </xf>
    <xf numFmtId="49" fontId="0" fillId="0" borderId="13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2" fontId="1" fillId="0" borderId="16" xfId="0" applyNumberFormat="1" applyFont="1" applyBorder="1" applyAlignment="1" applyProtection="1">
      <alignment horizontal="left"/>
      <protection/>
    </xf>
    <xf numFmtId="2" fontId="1" fillId="0" borderId="16" xfId="0" applyNumberFormat="1" applyFon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8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 quotePrefix="1">
      <alignment/>
      <protection locked="0"/>
    </xf>
    <xf numFmtId="0" fontId="0" fillId="0" borderId="19" xfId="0" applyBorder="1" applyAlignment="1" applyProtection="1" quotePrefix="1">
      <alignment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 quotePrefix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 horizontal="left" indent="1"/>
    </xf>
    <xf numFmtId="2" fontId="0" fillId="0" borderId="30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31" xfId="0" applyBorder="1" applyAlignment="1" applyProtection="1">
      <alignment horizontal="left"/>
      <protection/>
    </xf>
    <xf numFmtId="0" fontId="0" fillId="0" borderId="3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2" fontId="0" fillId="0" borderId="32" xfId="0" applyNumberForma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 indent="1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/>
    </xf>
    <xf numFmtId="2" fontId="0" fillId="0" borderId="19" xfId="0" applyNumberFormat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left" indent="1"/>
    </xf>
    <xf numFmtId="2" fontId="0" fillId="0" borderId="21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>
      <alignment horizontal="left" indent="1"/>
    </xf>
    <xf numFmtId="0" fontId="1" fillId="0" borderId="0" xfId="0" applyFont="1" applyAlignment="1">
      <alignment horizontal="left" indent="1"/>
    </xf>
    <xf numFmtId="2" fontId="0" fillId="0" borderId="21" xfId="0" applyNumberFormat="1" applyBorder="1" applyAlignment="1" applyProtection="1">
      <alignment horizontal="center"/>
      <protection/>
    </xf>
    <xf numFmtId="0" fontId="0" fillId="0" borderId="20" xfId="0" applyBorder="1" applyAlignment="1">
      <alignment horizontal="left" indent="1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2" fontId="0" fillId="0" borderId="0" xfId="0" applyNumberFormat="1" applyAlignment="1" applyProtection="1">
      <alignment horizontal="center"/>
      <protection locked="0"/>
    </xf>
    <xf numFmtId="0" fontId="0" fillId="0" borderId="22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0" fillId="0" borderId="24" xfId="0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26" xfId="0" applyBorder="1" applyAlignment="1" quotePrefix="1">
      <alignment/>
    </xf>
    <xf numFmtId="0" fontId="0" fillId="0" borderId="25" xfId="0" applyBorder="1" applyAlignment="1">
      <alignment horizontal="left"/>
    </xf>
    <xf numFmtId="0" fontId="0" fillId="0" borderId="25" xfId="0" applyNumberFormat="1" applyBorder="1" applyAlignment="1">
      <alignment horizontal="left"/>
    </xf>
    <xf numFmtId="2" fontId="0" fillId="0" borderId="26" xfId="0" applyNumberFormat="1" applyBorder="1" applyAlignment="1">
      <alignment horizontal="center"/>
    </xf>
    <xf numFmtId="0" fontId="0" fillId="0" borderId="25" xfId="0" applyFont="1" applyBorder="1" applyAlignment="1">
      <alignment horizontal="left"/>
    </xf>
    <xf numFmtId="165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left" indent="1"/>
    </xf>
    <xf numFmtId="0" fontId="1" fillId="0" borderId="27" xfId="0" applyFont="1" applyBorder="1" applyAlignment="1">
      <alignment horizontal="left" indent="1"/>
    </xf>
    <xf numFmtId="165" fontId="0" fillId="0" borderId="29" xfId="0" applyNumberFormat="1" applyBorder="1" applyAlignment="1">
      <alignment horizontal="center"/>
    </xf>
    <xf numFmtId="0" fontId="1" fillId="0" borderId="20" xfId="0" applyFont="1" applyBorder="1" applyAlignment="1">
      <alignment horizontal="left" indent="1"/>
    </xf>
    <xf numFmtId="165" fontId="0" fillId="0" borderId="21" xfId="0" applyNumberFormat="1" applyBorder="1" applyAlignment="1">
      <alignment horizontal="center"/>
    </xf>
    <xf numFmtId="165" fontId="1" fillId="0" borderId="20" xfId="0" applyNumberFormat="1" applyFont="1" applyBorder="1" applyAlignment="1">
      <alignment horizontal="left" indent="1"/>
    </xf>
    <xf numFmtId="165" fontId="0" fillId="0" borderId="21" xfId="0" applyNumberForma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165" fontId="0" fillId="0" borderId="0" xfId="0" applyNumberForma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166" fontId="0" fillId="0" borderId="23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167" fontId="0" fillId="0" borderId="0" xfId="0" applyNumberFormat="1" applyBorder="1" applyAlignment="1" applyProtection="1">
      <alignment horizontal="center"/>
      <protection locked="0"/>
    </xf>
    <xf numFmtId="167" fontId="0" fillId="0" borderId="29" xfId="0" applyNumberFormat="1" applyBorder="1" applyAlignment="1" applyProtection="1">
      <alignment horizontal="center"/>
      <protection locked="0"/>
    </xf>
    <xf numFmtId="167" fontId="0" fillId="0" borderId="21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167" fontId="0" fillId="0" borderId="0" xfId="0" applyNumberFormat="1" applyBorder="1" applyAlignment="1" applyProtection="1">
      <alignment horizontal="center"/>
      <protection/>
    </xf>
    <xf numFmtId="167" fontId="0" fillId="0" borderId="21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165" fontId="1" fillId="0" borderId="2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22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 horizontal="center"/>
    </xf>
    <xf numFmtId="0" fontId="0" fillId="0" borderId="0" xfId="0" applyNumberForma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165" fontId="0" fillId="0" borderId="21" xfId="0" applyNumberFormat="1" applyFill="1" applyBorder="1" applyAlignment="1" applyProtection="1">
      <alignment horizontal="center"/>
      <protection locked="0"/>
    </xf>
    <xf numFmtId="165" fontId="0" fillId="0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SheetLayoutView="100" zoomScalePageLayoutView="0" workbookViewId="0" topLeftCell="A1">
      <selection activeCell="A19" sqref="A19"/>
    </sheetView>
  </sheetViews>
  <sheetFormatPr defaultColWidth="9.00390625" defaultRowHeight="12.75"/>
  <cols>
    <col min="10" max="10" width="10.375" style="0" customWidth="1"/>
  </cols>
  <sheetData>
    <row r="1" spans="1:10" ht="12.75">
      <c r="A1" s="1"/>
      <c r="B1" s="2"/>
      <c r="C1" s="3" t="s">
        <v>0</v>
      </c>
      <c r="D1" s="3"/>
      <c r="E1" s="3"/>
      <c r="F1" s="3"/>
      <c r="G1" s="4" t="s">
        <v>4</v>
      </c>
      <c r="H1" s="5"/>
      <c r="I1" s="2"/>
      <c r="J1" s="132" t="s">
        <v>82</v>
      </c>
    </row>
    <row r="2" spans="1:10" ht="12.75">
      <c r="A2" s="1" t="s">
        <v>1</v>
      </c>
      <c r="B2" s="6" t="s">
        <v>2</v>
      </c>
      <c r="C2" s="7"/>
      <c r="D2" s="1"/>
      <c r="E2" s="1"/>
      <c r="F2" s="1"/>
      <c r="G2" s="1"/>
      <c r="H2" s="8"/>
      <c r="I2" s="1"/>
      <c r="J2" s="1"/>
    </row>
    <row r="3" spans="1:9" ht="12.75">
      <c r="A3" s="1"/>
      <c r="B3" s="1"/>
      <c r="C3" s="1"/>
      <c r="D3" s="1"/>
      <c r="E3" s="1"/>
      <c r="F3" s="1"/>
      <c r="G3" s="1"/>
      <c r="H3" s="1"/>
      <c r="I3" s="9"/>
    </row>
    <row r="4" spans="1:10" ht="12.75">
      <c r="A4" s="10" t="s">
        <v>3</v>
      </c>
      <c r="B4" s="11"/>
      <c r="C4" s="12" t="s">
        <v>194</v>
      </c>
      <c r="D4" s="5"/>
      <c r="E4" s="5"/>
      <c r="F4" s="1" t="s">
        <v>5</v>
      </c>
      <c r="G4" s="1"/>
      <c r="H4" s="1"/>
      <c r="I4" s="13" t="s">
        <v>193</v>
      </c>
      <c r="J4" s="5"/>
    </row>
    <row r="5" spans="1:10" ht="13.5" thickBot="1">
      <c r="A5" s="1"/>
      <c r="B5" s="1"/>
      <c r="C5" s="1"/>
      <c r="D5" s="1"/>
      <c r="E5" s="1"/>
      <c r="F5" s="1" t="s">
        <v>6</v>
      </c>
      <c r="G5" s="1"/>
      <c r="H5" s="1"/>
      <c r="I5" s="4" t="s">
        <v>193</v>
      </c>
      <c r="J5" s="5"/>
    </row>
    <row r="6" spans="1:10" ht="13.5" thickTop="1">
      <c r="A6" s="14"/>
      <c r="B6" s="15" t="s">
        <v>7</v>
      </c>
      <c r="C6" s="16"/>
      <c r="D6" s="17"/>
      <c r="E6" s="1"/>
      <c r="F6" s="1" t="s">
        <v>8</v>
      </c>
      <c r="G6" s="1"/>
      <c r="H6" s="18" t="s">
        <v>9</v>
      </c>
      <c r="I6" s="19">
        <f>YEAR(J53)+2</f>
        <v>2013</v>
      </c>
      <c r="J6" s="20"/>
    </row>
    <row r="7" spans="1:10" ht="12.75">
      <c r="A7" s="21" t="s">
        <v>10</v>
      </c>
      <c r="B7" s="11"/>
      <c r="C7" s="10" t="s">
        <v>11</v>
      </c>
      <c r="D7" s="22"/>
      <c r="E7" s="1"/>
      <c r="F7" s="1" t="s">
        <v>12</v>
      </c>
      <c r="G7" s="23"/>
      <c r="H7" s="5"/>
      <c r="I7" s="24"/>
      <c r="J7" s="5"/>
    </row>
    <row r="8" spans="1:10" ht="13.5" thickBot="1">
      <c r="A8" s="25"/>
      <c r="B8" s="26">
        <f>IF(N(J38)&gt;0,ROUND(F49,2)," ")</f>
        <v>10.38</v>
      </c>
      <c r="C8" s="27">
        <f>ROUND(F50,2)</f>
        <v>9.99</v>
      </c>
      <c r="D8" s="28"/>
      <c r="E8" s="1"/>
      <c r="F8" s="11"/>
      <c r="G8" s="5"/>
      <c r="H8" s="5"/>
      <c r="I8" s="5"/>
      <c r="J8" s="5"/>
    </row>
    <row r="9" spans="1:10" ht="13.5" thickTop="1">
      <c r="A9" s="6" t="s">
        <v>13</v>
      </c>
      <c r="B9" s="1"/>
      <c r="C9" s="1"/>
      <c r="D9" s="1"/>
      <c r="E9" s="1"/>
      <c r="F9" s="1"/>
      <c r="G9" s="5"/>
      <c r="H9" s="5"/>
      <c r="I9" s="5"/>
      <c r="J9" s="5"/>
    </row>
    <row r="10" spans="1:10" ht="12.75">
      <c r="A10" s="6" t="s">
        <v>14</v>
      </c>
      <c r="B10" s="1"/>
      <c r="C10" s="1"/>
      <c r="D10" s="1"/>
      <c r="E10" s="1"/>
      <c r="F10" s="1"/>
      <c r="G10" s="5"/>
      <c r="H10" s="5"/>
      <c r="I10" s="5"/>
      <c r="J10" s="5"/>
    </row>
    <row r="11" spans="1:10" ht="12.75">
      <c r="A11" s="6" t="s">
        <v>15</v>
      </c>
      <c r="B11" s="1"/>
      <c r="C11" s="1"/>
      <c r="D11" s="1"/>
      <c r="E11" s="1"/>
      <c r="F11" s="1"/>
      <c r="G11" s="5"/>
      <c r="H11" s="5"/>
      <c r="I11" s="5"/>
      <c r="J11" s="5"/>
    </row>
    <row r="12" spans="1:10" ht="12.75">
      <c r="A12" s="1"/>
      <c r="B12" s="1"/>
      <c r="C12" s="1"/>
      <c r="D12" s="29" t="s">
        <v>16</v>
      </c>
      <c r="E12" s="1"/>
      <c r="F12" s="1"/>
      <c r="G12" s="5"/>
      <c r="H12" s="5"/>
      <c r="I12" s="5"/>
      <c r="J12" s="5"/>
    </row>
    <row r="13" spans="6:8" ht="12.75">
      <c r="F13" t="s">
        <v>17</v>
      </c>
      <c r="H13" s="143" t="s">
        <v>198</v>
      </c>
    </row>
    <row r="14" spans="1:8" ht="12.75">
      <c r="A14" s="30">
        <f>IF(LEFT(A21,10)="Поворотный",1.5*F37,1.2*F37)</f>
        <v>12</v>
      </c>
      <c r="F14" t="s">
        <v>18</v>
      </c>
      <c r="H14" s="144" t="s">
        <v>195</v>
      </c>
    </row>
    <row r="15" spans="1:8" ht="12.75">
      <c r="A15" s="32" t="s">
        <v>19</v>
      </c>
      <c r="E15" t="s">
        <v>20</v>
      </c>
      <c r="F15" t="s">
        <v>21</v>
      </c>
      <c r="H15" s="145" t="s">
        <v>196</v>
      </c>
    </row>
    <row r="16" spans="1:8" ht="12.75">
      <c r="A16" s="5"/>
      <c r="B16" s="5"/>
      <c r="C16" s="5"/>
      <c r="F16" t="s">
        <v>22</v>
      </c>
      <c r="H16" s="146" t="s">
        <v>99</v>
      </c>
    </row>
    <row r="17" spans="1:8" ht="12.75">
      <c r="A17" t="s">
        <v>23</v>
      </c>
      <c r="F17" t="s">
        <v>24</v>
      </c>
      <c r="H17" s="146" t="s">
        <v>189</v>
      </c>
    </row>
    <row r="18" spans="1:8" ht="12.75">
      <c r="A18" s="5" t="s">
        <v>199</v>
      </c>
      <c r="B18" s="5"/>
      <c r="C18" s="5"/>
      <c r="D18" s="5"/>
      <c r="F18" t="s">
        <v>25</v>
      </c>
      <c r="H18" s="145" t="s">
        <v>197</v>
      </c>
    </row>
    <row r="19" spans="1:10" ht="13.5" thickBot="1">
      <c r="A19" s="23"/>
      <c r="B19" s="23"/>
      <c r="C19" s="23"/>
      <c r="D19" s="23"/>
      <c r="E19" s="33"/>
      <c r="F19" s="33" t="s">
        <v>26</v>
      </c>
      <c r="G19" s="33"/>
      <c r="H19" s="147" t="s">
        <v>100</v>
      </c>
      <c r="I19" s="33"/>
      <c r="J19" s="33"/>
    </row>
    <row r="20" spans="1:10" ht="13.5" thickTop="1">
      <c r="A20" s="34" t="s">
        <v>27</v>
      </c>
      <c r="B20" s="16"/>
      <c r="C20" s="35"/>
      <c r="D20" s="35"/>
      <c r="E20" s="35"/>
      <c r="F20" s="36"/>
      <c r="G20" s="35"/>
      <c r="H20" s="35"/>
      <c r="I20" s="36"/>
      <c r="J20" s="37"/>
    </row>
    <row r="21" spans="1:10" ht="12.75">
      <c r="A21" s="38"/>
      <c r="B21" s="23"/>
      <c r="C21" s="23"/>
      <c r="D21" s="23"/>
      <c r="E21" s="23"/>
      <c r="F21" s="23"/>
      <c r="G21" s="23"/>
      <c r="H21" s="23"/>
      <c r="I21" s="23"/>
      <c r="J21" s="39"/>
    </row>
    <row r="22" spans="1:10" ht="13.5" thickBot="1">
      <c r="A22" s="40"/>
      <c r="B22" s="41"/>
      <c r="C22" s="41"/>
      <c r="D22" s="41"/>
      <c r="E22" s="41"/>
      <c r="F22" s="41"/>
      <c r="G22" s="41"/>
      <c r="H22" s="41"/>
      <c r="I22" s="41"/>
      <c r="J22" s="42"/>
    </row>
    <row r="23" spans="1:10" ht="13.5" thickTop="1">
      <c r="A23" s="43" t="s">
        <v>28</v>
      </c>
      <c r="B23" s="44"/>
      <c r="C23" s="44"/>
      <c r="D23" s="44"/>
      <c r="E23" s="44"/>
      <c r="F23" s="44"/>
      <c r="G23" s="44"/>
      <c r="H23" s="45"/>
      <c r="I23" s="45"/>
      <c r="J23" s="46"/>
    </row>
    <row r="24" spans="1:10" ht="13.5" thickBot="1">
      <c r="A24" s="47" t="s">
        <v>29</v>
      </c>
      <c r="B24" s="48"/>
      <c r="C24" s="49">
        <f>IF(OR(RIGHT(H16,1)="п",RIGHT(H16,1)="р",RIGHT(H16,1)="т"),1,IF(OR(RIGHT(H16,1)="л",H16="Гаф. иол с берм. бизанью",),0.95,0.9))</f>
        <v>0.9</v>
      </c>
      <c r="D24" s="48" t="s">
        <v>30</v>
      </c>
      <c r="E24" s="48"/>
      <c r="F24" s="50">
        <f>IF(N(J38)=0,0.8,1)</f>
        <v>1</v>
      </c>
      <c r="G24" t="s">
        <v>31</v>
      </c>
      <c r="H24" s="51">
        <f>IF(H17="Брусковый",0.36,IF(H17="Глубокий",0.3,IF(H17="Шверт",0.16*F25/D28,0.16)))</f>
        <v>0.16</v>
      </c>
      <c r="I24" s="48" t="s">
        <v>32</v>
      </c>
      <c r="J24" s="52">
        <f>IF(H19=" ",1,IF(H19="Складной в вырезе",0.995,IF(OR(H19="Складной",H19="Поворотный в вырезе"),0.99,IF(OR(H19="Поворотный",H19="Жёсткий 2-лоп. в вырезе"),0.98,IF(OR(H19="Жёсткий 2-лоп.",H19="Жёсткий 3-4-лоп. в вырезе"),0.96,IF(H19="Жёсткий 3-4-лоп.",0.94))))))</f>
        <v>0.94</v>
      </c>
    </row>
    <row r="25" spans="1:10" ht="13.5" thickTop="1">
      <c r="A25" s="53" t="s">
        <v>33</v>
      </c>
      <c r="B25" s="54"/>
      <c r="C25" s="55"/>
      <c r="D25" s="56"/>
      <c r="E25" s="57" t="s">
        <v>34</v>
      </c>
      <c r="F25" s="58"/>
      <c r="G25" s="59" t="s">
        <v>35</v>
      </c>
      <c r="H25" s="60">
        <v>0.07</v>
      </c>
      <c r="I25" s="16" t="s">
        <v>36</v>
      </c>
      <c r="J25" s="60">
        <v>0.06</v>
      </c>
    </row>
    <row r="26" spans="1:10" ht="12.75">
      <c r="A26" s="61" t="s">
        <v>37</v>
      </c>
      <c r="B26" s="135">
        <v>18.96</v>
      </c>
      <c r="C26" s="63" t="s">
        <v>38</v>
      </c>
      <c r="D26" s="135">
        <v>0</v>
      </c>
      <c r="E26" s="64" t="s">
        <v>39</v>
      </c>
      <c r="F26" s="65">
        <f>D28-H27-H28</f>
        <v>5.83</v>
      </c>
      <c r="G26" s="66" t="s">
        <v>40</v>
      </c>
      <c r="H26" s="138">
        <v>1.41</v>
      </c>
      <c r="I26" s="66" t="s">
        <v>41</v>
      </c>
      <c r="J26" s="139">
        <v>4.95</v>
      </c>
    </row>
    <row r="27" spans="1:10" ht="12.75">
      <c r="A27" s="61" t="s">
        <v>42</v>
      </c>
      <c r="B27" s="135">
        <v>2.175</v>
      </c>
      <c r="C27" s="68" t="s">
        <v>43</v>
      </c>
      <c r="D27" s="135">
        <v>0</v>
      </c>
      <c r="E27" s="61" t="s">
        <v>44</v>
      </c>
      <c r="F27" s="137">
        <v>13.1</v>
      </c>
      <c r="G27" s="66" t="s">
        <v>45</v>
      </c>
      <c r="H27" s="139">
        <v>1.25</v>
      </c>
      <c r="I27" s="69" t="s">
        <v>46</v>
      </c>
      <c r="J27" s="70">
        <f>J26-H25-J25</f>
        <v>4.82</v>
      </c>
    </row>
    <row r="28" spans="1:10" ht="13.5" thickBot="1">
      <c r="A28" s="71" t="s">
        <v>47</v>
      </c>
      <c r="B28" s="136">
        <v>1.535</v>
      </c>
      <c r="C28" s="72" t="s">
        <v>48</v>
      </c>
      <c r="D28" s="136">
        <v>8.33</v>
      </c>
      <c r="E28" s="73" t="s">
        <v>49</v>
      </c>
      <c r="F28" s="136">
        <v>13.2</v>
      </c>
      <c r="G28" s="73" t="s">
        <v>50</v>
      </c>
      <c r="H28" s="140">
        <v>1.25</v>
      </c>
      <c r="I28" s="74" t="s">
        <v>51</v>
      </c>
      <c r="J28" s="52">
        <f>B26-B27-B28</f>
        <v>15.25</v>
      </c>
    </row>
    <row r="29" spans="1:10" ht="13.5" thickTop="1">
      <c r="A29" s="75" t="s">
        <v>52</v>
      </c>
      <c r="B29" s="44"/>
      <c r="C29" s="76" t="str">
        <f>IF(OR(RIGHT(H16,3)="кеч",C24=0.95,H16="Гаф. кеч с берм. бизанью"),"Бизань",IF(OR(RIGHT(H16,5)="шхуна",H16="Берм. шхуна с гаф. фоком",LEFT(H16,1)="М",LEFT(H16,1)="С",RIGHT(H16,4)="тина"),"Фок"," "))</f>
        <v>Бизань</v>
      </c>
      <c r="D29" s="77"/>
      <c r="E29" s="78" t="str">
        <f>IF(RIGHT(H16,1)="т"," ","Дополнит. паруса")</f>
        <v>Дополнит. паруса</v>
      </c>
      <c r="F29" s="46"/>
      <c r="G29" s="79" t="str">
        <f>IF(RIGHT(H16,1)="т"," ","Передние паруса")</f>
        <v>Передние паруса</v>
      </c>
      <c r="H29" s="80"/>
      <c r="I29" s="81" t="s">
        <v>53</v>
      </c>
      <c r="J29" s="82"/>
    </row>
    <row r="30" spans="1:10" ht="12.75">
      <c r="A30" s="66" t="str">
        <f>IF(OR(LEFT(H16,1)="Г",RIGHT(H16,11)="гаф. гротом",LEFT(H16,7)="Марсель"),"H","P")</f>
        <v>P</v>
      </c>
      <c r="B30" s="138">
        <v>16.86</v>
      </c>
      <c r="C30" s="66" t="str">
        <f>IF(OR(H16="Гафельная шхуна",H16="Берм. шхуна с гаф. фоком",LEFT(H16,1)="М"),"HF",IF(OR(H16="Гафельный кеч",H16="Гафельный иол"),"HY",IF(OR(RIGHT(H16,4)="тина",H16="Бермудская шхуна",LEFT(H16,1)="С"),"PSF",IF(OR(H16="Бермудский иол",H16="Бермудский кеч",RIGHT(H16,1)="ю"),"PY"," "))))</f>
        <v>PY</v>
      </c>
      <c r="D30" s="67">
        <v>12.58</v>
      </c>
      <c r="E30" s="66" t="str">
        <f>IF(OR(RIGHT(H16,1)="п",RIGHT(H16,1)="т",N(H30)=0)," ","JLI")</f>
        <v>JLI</v>
      </c>
      <c r="F30" s="67" t="s">
        <v>4</v>
      </c>
      <c r="G30" s="83" t="str">
        <f>IF(RIGHT(H16,1)="т"," ","J")</f>
        <v>J</v>
      </c>
      <c r="H30" s="138">
        <v>8.11</v>
      </c>
      <c r="I30" s="84" t="str">
        <f>IF(AND(A30="H",N(B34)&gt;0),"MSAT"," ")</f>
        <v> </v>
      </c>
      <c r="J30" s="85" t="str">
        <f>IF(AND(A30="H",N(B34)&gt;0),B34*B35/2," ")</f>
        <v> </v>
      </c>
    </row>
    <row r="31" spans="1:10" ht="12.75">
      <c r="A31" s="66" t="s">
        <v>54</v>
      </c>
      <c r="B31" s="141">
        <v>5.55</v>
      </c>
      <c r="C31" s="66" t="str">
        <f>IF(OR(C30="HY",C30="PY"),"ЕY",IF(OR(H16="Бермудская шхуна",H16="Гафельная шхуна",H16="Берм. шхуна с гаф. фоком",LEFT(H16,1)="М"),"ЕF",IF(LEFT(H16,1)="С","IS",IF(RIGHT(H16,4)="тина","MNWF"," "))))</f>
        <v>ЕY</v>
      </c>
      <c r="D31" s="67">
        <v>3.9</v>
      </c>
      <c r="E31" s="66" t="str">
        <f>IF(E30="JLI","LРI"," ")</f>
        <v>LРI</v>
      </c>
      <c r="F31" s="67" t="s">
        <v>4</v>
      </c>
      <c r="G31" s="66" t="str">
        <f>IF(AND(G30="J",N(H30)&gt;0),"JL"," ")</f>
        <v>JL</v>
      </c>
      <c r="H31" s="138">
        <v>13.92</v>
      </c>
      <c r="I31" s="86" t="str">
        <f>IF(AND(C30="HF",N(D34)&gt;0,NOT(C34="HT")),"MSATF",IF(AND(C30="HY",D34&gt;0),"MSATY"," "))</f>
        <v> </v>
      </c>
      <c r="J31" s="87" t="str">
        <f>IF(AND(LEFT(C33,1)="T",N(D34)&gt;0),D34*D35/2," ")</f>
        <v> </v>
      </c>
    </row>
    <row r="32" spans="1:10" ht="12.75">
      <c r="A32" s="66" t="str">
        <f>IF(A30="H","GM","HB")</f>
        <v>HB</v>
      </c>
      <c r="B32" s="142">
        <v>0.15</v>
      </c>
      <c r="C32" s="66" t="str">
        <f>IF(C30="HF","GF",IF(C30="HY","GY",IF(H16="Бермудская шхуна","HBF",IF(C30="PY","HBY",IF(C31="IS","EB",IF(C31="MNWF","MXWF"," "))))))</f>
        <v>HBY</v>
      </c>
      <c r="D32" s="131">
        <v>0.15</v>
      </c>
      <c r="E32" s="66" t="str">
        <f>IF(E30="JLI","FSPI"," ")</f>
        <v>FSPI</v>
      </c>
      <c r="F32" s="67"/>
      <c r="G32" s="66" t="str">
        <f>IF(G31="JL","LP"," ")</f>
        <v>LP</v>
      </c>
      <c r="H32" s="138">
        <v>9.67</v>
      </c>
      <c r="I32" s="86" t="str">
        <f>IF(C31="ЕY","SAY",IF(AND(C37="MTSL",N(D37)&gt;0),"MTSA"," "))</f>
        <v>SAY</v>
      </c>
      <c r="J32" s="87">
        <f>IF(C30="PY",MIN(D30*D40/2,D30*(D32+2*D38+3*D39+2*D31)/8),IF(C30="HY",0.8*((D30*D31+D32*(D30^2+D31^2)^0.5)/2+MAX(J31,0)),IF(AND(I32="MTSA",N(B37)&gt;0),B37*B38/2," ")))</f>
        <v>22.879875000000002</v>
      </c>
    </row>
    <row r="33" spans="1:10" ht="12.75">
      <c r="A33" s="66" t="str">
        <f>IF(A30="H"," ","BL1")</f>
        <v>BL1</v>
      </c>
      <c r="B33" s="142">
        <v>0.98</v>
      </c>
      <c r="C33" s="66" t="str">
        <f>IF(C32="HBF","BF1",IF(C30="PY","BY1"," "))</f>
        <v>BY1</v>
      </c>
      <c r="D33" s="70">
        <v>0.7</v>
      </c>
      <c r="E33" s="66" t="str">
        <f>IF(NOT(OR(N(H30)=0,RIGHT(H16,4)="тина",LEFT(H16,4)="Марс")),"SLU"," ")</f>
        <v>SLU</v>
      </c>
      <c r="F33" s="67">
        <v>14</v>
      </c>
      <c r="G33" s="66" t="str">
        <f>IF(G31="JL","FSP"," ")</f>
        <v>FSP</v>
      </c>
      <c r="H33" s="138">
        <v>0.2</v>
      </c>
      <c r="I33" s="86" t="str">
        <f>IF(AND(C31="ЕY",N(F37)&gt;0),"SAK",IF(AND(C39="MSL",N(D39)&gt;0),"MSA"," "))</f>
        <v>SAK</v>
      </c>
      <c r="J33" s="87">
        <f>IF(AND(C31="ЕY",N(F37)&gt;0),F37*(F38+2*F39)/4,IF(AND(I33="MSA",N(B39)&gt;0),B39*B40/2," "))</f>
        <v>0</v>
      </c>
    </row>
    <row r="34" spans="1:10" ht="12.75">
      <c r="A34" s="66" t="str">
        <f>IF(A30="H","TL","BL2")</f>
        <v>BL2</v>
      </c>
      <c r="B34" s="138">
        <v>1.21</v>
      </c>
      <c r="C34" s="66" t="str">
        <f>IF(AND(C30="HF",NOT(LEFT(H16,1)="М")),"TFL",IF(LEFT(H16,1)="М","HT",IF(C30="HY","TYL",IF(C32="HBF","BF2",IF(C30="PY","BY2"," ")))))</f>
        <v>BY2</v>
      </c>
      <c r="D34" s="67">
        <v>0.9</v>
      </c>
      <c r="E34" s="66" t="str">
        <f>IF(E33="SLU","SLE"," ")</f>
        <v>SLE</v>
      </c>
      <c r="F34" s="67">
        <v>12</v>
      </c>
      <c r="G34" s="66" t="str">
        <f>IF(AND(N(H30)&gt;0,NOT(C31="MNWF"),NOT(C34="HT")),"SL"," ")</f>
        <v>SL</v>
      </c>
      <c r="H34" s="67">
        <v>16</v>
      </c>
      <c r="I34" s="88" t="str">
        <f>IF(C34="HT","SQTSA"," ")</f>
        <v> </v>
      </c>
      <c r="J34" s="89" t="str">
        <f>IF(C34="HT",3*D34*(D35+D36)/8," ")</f>
        <v> </v>
      </c>
    </row>
    <row r="35" spans="1:10" ht="12.75">
      <c r="A35" s="66" t="str">
        <f>IF(A30="H","TLP","BL3")</f>
        <v>BL3</v>
      </c>
      <c r="B35" s="138">
        <v>1.21</v>
      </c>
      <c r="C35" s="66" t="str">
        <f>IF(C30="HY","TYLP",IF(C34="TFL","TFLP",IF(C32="HBF","BF3",IF(C34="HT","MNWT",IF(C30="PY","BY3"," ")))))</f>
        <v>BY3</v>
      </c>
      <c r="D35" s="67">
        <v>0.9</v>
      </c>
      <c r="E35" s="66" t="str">
        <f>IF(E33="SLU","SFg"," ")</f>
        <v>SFg</v>
      </c>
      <c r="F35" s="67">
        <v>14.4</v>
      </c>
      <c r="G35" s="66" t="str">
        <f>IF(G34="SL","SFs"," ")</f>
        <v>SFs</v>
      </c>
      <c r="H35" s="67">
        <v>14</v>
      </c>
      <c r="I35" s="86" t="s">
        <v>55</v>
      </c>
      <c r="J35" s="87">
        <f>IF(A30="H",0.8*((B30*B31+B32*(B30^2+B31^2)^0.5)/2+MAX(J30,0)),MIN(B30*B40/2,B30*(B32+2*B38+3*B39+2*B31)/8))</f>
        <v>46.7865</v>
      </c>
    </row>
    <row r="36" spans="1:10" ht="12.75">
      <c r="A36" s="66" t="str">
        <f>IF(A30="H"," ","BL4")</f>
        <v>BL4</v>
      </c>
      <c r="B36" s="138">
        <v>1.21</v>
      </c>
      <c r="C36" s="66" t="str">
        <f>IF(C32="HBF","BF4",IF(C30="PY","BY4",IF(C34="HT","MXWT"," ")))</f>
        <v>BY4</v>
      </c>
      <c r="D36" s="62">
        <v>0.9</v>
      </c>
      <c r="E36" s="68" t="str">
        <f>IF(E33="SLU","SMG"," ")</f>
        <v>SMG</v>
      </c>
      <c r="F36" s="67">
        <v>10.8</v>
      </c>
      <c r="G36" s="66" t="str">
        <f>IF(G34="SL","SMW"," ")</f>
        <v>SMW</v>
      </c>
      <c r="H36" s="67">
        <v>14</v>
      </c>
      <c r="I36" s="86" t="str">
        <f>IF(C31="IS","SAB",IF(OR(C32="GF",C32="HBF"),"SAG",IF(C31="MNWF","SQSA",IF(OR(C30="HY",C30="PY"),"YSAC"," "))))</f>
        <v>YSAC</v>
      </c>
      <c r="J36" s="87">
        <f>IF(C30="HF",0.8*((D30*D31+D32*(D30^2+D31^2)^0.5)/2+MAX(J31,0)),IF(C31="IS",D32*(D30+D31)/2,IF(C31="EF",MIN(D30*D40/2,D30*(D32+2*D38+3*D39+2*D31)/8),IF(C31="ЕY",MAX(J32,J33),IF(C31="MNWF",3*D30*(D31+D32)/8," ")))))</f>
        <v>22.879875000000002</v>
      </c>
    </row>
    <row r="37" spans="1:10" ht="12.75">
      <c r="A37" s="66" t="str">
        <f>IF(A30="H"," ","BL5")</f>
        <v>BL5</v>
      </c>
      <c r="B37" s="138">
        <v>0</v>
      </c>
      <c r="C37" s="66" t="str">
        <f>IF(C32="HBF","BF5",IF(C30="PY","BY5",IF(RIGHT(H16,2)="на","MTSL"," ")))</f>
        <v>BY5</v>
      </c>
      <c r="D37" s="62"/>
      <c r="E37" s="68" t="str">
        <f>IF(E33="SLU","TPS"," ")</f>
        <v>TPS</v>
      </c>
      <c r="F37" s="67">
        <v>10</v>
      </c>
      <c r="G37" s="66" t="str">
        <f>IF(G34="SL","SPL"," ")</f>
        <v>SPL</v>
      </c>
      <c r="H37" s="67">
        <v>8</v>
      </c>
      <c r="I37" s="86" t="str">
        <f>IF(AND(G30="J",N(H30)&gt;0),"SAF"," ")</f>
        <v>SAF</v>
      </c>
      <c r="J37" s="87">
        <f>IF(N(H30)=0," ",(H31*(H32+H33+H40)+N(F30)*(N(F31)+N(F32)+H40))/4)</f>
        <v>62.57039999999999</v>
      </c>
    </row>
    <row r="38" spans="1:10" ht="12.75">
      <c r="A38" s="66" t="str">
        <f>IF(A30="H"," ","MGU")</f>
        <v>MGU</v>
      </c>
      <c r="B38" s="138">
        <v>1.7</v>
      </c>
      <c r="C38" s="66" t="str">
        <f>IF(H16="Бермудская шхуна","GUF",IF(C30="PY","GUY",IF(C37="MTSL","MTSLP"," ")))</f>
        <v>GUY</v>
      </c>
      <c r="D38" s="67"/>
      <c r="E38" s="66" t="str">
        <f>IF(C31="ЕY","YSL"," ")</f>
        <v>YSL</v>
      </c>
      <c r="F38" s="67"/>
      <c r="G38" s="86" t="str">
        <f>IF(N(H34)=0," ","SAspin")</f>
        <v>SAspin</v>
      </c>
      <c r="H38" s="90">
        <f>IF(N(H34)&gt;0,0.06*(2*H34+(MAX(H35,1.8*H30,1.8*H37)+MAX(H36,1.8*H30,1.8*H37))/2)^2," ")</f>
        <v>130.28241623999998</v>
      </c>
      <c r="I38" s="86" t="str">
        <f>IF(N(H38)+N(H39)=0," ","SPIN")</f>
        <v>SPIN</v>
      </c>
      <c r="J38" s="87">
        <f>IF(N(H38)+N(H39)&gt;0,MAX(N(H38),N(H39))," ")</f>
        <v>130.28241623999998</v>
      </c>
    </row>
    <row r="39" spans="1:10" ht="12.75">
      <c r="A39" s="66" t="str">
        <f>IF(A30="H"," ","MGM")</f>
        <v>MGM</v>
      </c>
      <c r="B39" s="138">
        <v>3.3</v>
      </c>
      <c r="C39" s="66" t="str">
        <f>IF(C38="GUF","GMF",IF(C30="PY","GMY",IF(RIGHT(H16,10)="бригантина","MSL"," ")))</f>
        <v>GMY</v>
      </c>
      <c r="D39" s="67">
        <v>2.2</v>
      </c>
      <c r="E39" s="66" t="str">
        <f>IF(C31="ЕY","YSLP"," ")</f>
        <v>YSLP</v>
      </c>
      <c r="F39" s="67"/>
      <c r="G39" s="86" t="str">
        <f>IF(N(F33)=0," ","SAgen")</f>
        <v>SAgen</v>
      </c>
      <c r="H39" s="90">
        <f>IF(N(F33)&gt;0,0.06*(2*(0.6*F33+0.4*F34)+(MAX(F35,A14)+MAX(F36,A14))/2)^2," ")</f>
        <v>94.0896</v>
      </c>
      <c r="I39" s="86" t="s">
        <v>56</v>
      </c>
      <c r="J39" s="87">
        <f>J35+N(J34)+N(J36)+N(J37)+IF(OR(C30="HF",C31="MNWF"),N(J32)+IF(C31="MNWF",N(J33),0))</f>
        <v>132.236775</v>
      </c>
    </row>
    <row r="40" spans="1:10" ht="13.5" thickBot="1">
      <c r="A40" s="86" t="str">
        <f>IF(A30="P","EC"," ")</f>
        <v>EC</v>
      </c>
      <c r="B40" s="91">
        <f>IF(A30="P",B31+B42+B43," ")</f>
        <v>5.55</v>
      </c>
      <c r="C40" s="61" t="str">
        <f>IF(C32="HBF","EFC",IF(C30="PY","EYC",IF(C39="MSL","MSLP"," ")))</f>
        <v>EYC</v>
      </c>
      <c r="D40" s="90">
        <f>IF(LEFT(C32,2)="HB",D31+D42+D43," ")</f>
        <v>3.9</v>
      </c>
      <c r="E40" s="66" t="str">
        <f>IF(C31="ЕY","YSMG"," ")</f>
        <v>YSMG</v>
      </c>
      <c r="F40" s="67"/>
      <c r="G40" s="86" t="str">
        <f>IF(N(H30)=0," ","JC")</f>
        <v>JC</v>
      </c>
      <c r="H40" s="91">
        <f>IF(N(H30)&gt;0,MAX(H30,N(H37),N(H36)/1.8,N(F36)/1.8)," ")</f>
        <v>8.11</v>
      </c>
      <c r="I40" s="86" t="s">
        <v>57</v>
      </c>
      <c r="J40" s="87">
        <f>J39+N(J42)</f>
        <v>132.236775</v>
      </c>
    </row>
    <row r="41" spans="1:10" ht="13.5" thickTop="1">
      <c r="A41" s="92" t="s">
        <v>58</v>
      </c>
      <c r="B41" s="93"/>
      <c r="C41" s="93"/>
      <c r="D41" s="93"/>
      <c r="E41" s="93"/>
      <c r="F41" s="93"/>
      <c r="G41" s="93"/>
      <c r="H41" s="93"/>
      <c r="I41" s="93"/>
      <c r="J41" s="94"/>
    </row>
    <row r="42" spans="1:10" ht="12.75">
      <c r="A42" s="86" t="str">
        <f>IF(A30="H"," ","PHB")</f>
        <v>PHB</v>
      </c>
      <c r="B42" s="91">
        <f>IF(A30="P",MAX(3*(B32-MAX(0.04*B31,0.152)),0)," ")</f>
        <v>0</v>
      </c>
      <c r="C42" s="84" t="str">
        <f>IF(C30="PY","PHBY",IF(C32="HBF","PHBF"," "))</f>
        <v>PHBY</v>
      </c>
      <c r="D42" s="91">
        <f>IF(LEFT(C32,1)="H",MAX(3*(D32-MAX(0.04*D31,0.152)),0)," ")</f>
        <v>0</v>
      </c>
      <c r="E42" s="47"/>
      <c r="F42" s="33"/>
      <c r="G42" s="33"/>
      <c r="H42" s="33"/>
      <c r="I42" s="86" t="str">
        <f>IF(N(J38)=0," ","PSPIN")</f>
        <v>PSPIN</v>
      </c>
      <c r="J42" s="87">
        <f>IF(N(J38)=0," ",MAX((J38-J39)/2,0))</f>
        <v>0</v>
      </c>
    </row>
    <row r="43" spans="1:10" ht="13.5" thickBot="1">
      <c r="A43" s="74" t="str">
        <f>IF(A30="H"," ","PBL")</f>
        <v>PBL</v>
      </c>
      <c r="B43" s="95">
        <f>IF(A33="BL1",(MAX(B33+MAX(B38-MAX(0.38*B31,0.28*B31+0.016*B30+0.26),0)+MAX(B39-MAX(0.65*B31,0.5*B31+0.022*B30+0.37),0)-MAX(0.21*B31,0.1*B31+0.305),0)+MAX(B34-MAX(0.34*B31,0.12*B31+0.305),0)+MAX(B35-MAX(0.34*B31,0.12*B31+0.305),0)+MAX(B36-MAX(0.34*B31,0.12*B31+0.305),0)+B37)/2," ")</f>
        <v>0</v>
      </c>
      <c r="C43" s="74" t="str">
        <f>IF(C30="PY","PBY",IF(C32="HBF","PBF"," "))</f>
        <v>PBY</v>
      </c>
      <c r="D43" s="95">
        <f>IF(LEFT(C32,1)="H",(MAX(D33+MAX(D38-MAX(0.38*D31,0.28*D31+0.016*D30+0.26),0)+MAX(D39-MAX(0.65*D31,0.5*D31+0.022*D30+0.37),0)-MAX(0.21*D31,0.1*D31+0.305),0)+MAX(D34-MAX(0.34*D31,0.12*D31+0.305),0)+MAX(D35-MAX(0.34*D31,0.12*D31+0.305),0)+MAX(D36-MAX(0.34*D31,0.12*D31+0.305),0)+D37)/2," ")</f>
        <v>0</v>
      </c>
      <c r="E43" s="96"/>
      <c r="F43" s="97"/>
      <c r="G43" s="97"/>
      <c r="H43" s="97"/>
      <c r="I43" s="73" t="s">
        <v>59</v>
      </c>
      <c r="J43" s="98">
        <v>0</v>
      </c>
    </row>
    <row r="44" spans="1:10" ht="13.5" thickTop="1">
      <c r="A44" s="43" t="s">
        <v>60</v>
      </c>
      <c r="B44" s="44"/>
      <c r="C44" s="44"/>
      <c r="D44" s="44"/>
      <c r="E44" s="44"/>
      <c r="F44" s="44"/>
      <c r="G44" s="44"/>
      <c r="H44" s="44"/>
      <c r="I44" s="44"/>
      <c r="J44" s="77"/>
    </row>
    <row r="45" spans="1:10" ht="12.75">
      <c r="A45" s="99" t="s">
        <v>61</v>
      </c>
      <c r="B45" s="33"/>
      <c r="C45" s="100" t="s">
        <v>4</v>
      </c>
      <c r="D45" s="101" t="s">
        <v>4</v>
      </c>
      <c r="E45" s="33" t="s">
        <v>62</v>
      </c>
      <c r="F45" s="100" t="s">
        <v>4</v>
      </c>
      <c r="G45" s="101" t="s">
        <v>4</v>
      </c>
      <c r="H45" s="33" t="s">
        <v>63</v>
      </c>
      <c r="I45" s="100" t="s">
        <v>4</v>
      </c>
      <c r="J45" s="102" t="s">
        <v>4</v>
      </c>
    </row>
    <row r="46" spans="1:10" ht="12.75">
      <c r="A46" s="99" t="s">
        <v>64</v>
      </c>
      <c r="B46" s="33"/>
      <c r="C46" s="100" t="s">
        <v>4</v>
      </c>
      <c r="D46" s="102" t="s">
        <v>4</v>
      </c>
      <c r="E46" s="33" t="s">
        <v>25</v>
      </c>
      <c r="F46" s="100" t="s">
        <v>4</v>
      </c>
      <c r="G46" s="102" t="s">
        <v>4</v>
      </c>
      <c r="H46" s="33" t="s">
        <v>65</v>
      </c>
      <c r="I46" s="100" t="s">
        <v>4</v>
      </c>
      <c r="J46" s="102" t="s">
        <v>4</v>
      </c>
    </row>
    <row r="47" spans="1:10" ht="13.5" thickBot="1">
      <c r="A47" s="103"/>
      <c r="B47" s="11"/>
      <c r="C47" s="104" t="s">
        <v>4</v>
      </c>
      <c r="D47" s="105" t="s">
        <v>4</v>
      </c>
      <c r="E47" s="11"/>
      <c r="F47" s="11"/>
      <c r="G47" s="106"/>
      <c r="H47" s="33" t="s">
        <v>66</v>
      </c>
      <c r="I47" s="100" t="s">
        <v>4</v>
      </c>
      <c r="J47" s="102" t="s">
        <v>4</v>
      </c>
    </row>
    <row r="48" spans="1:10" ht="13.5" thickTop="1">
      <c r="A48" s="107" t="s">
        <v>67</v>
      </c>
      <c r="B48" s="108"/>
      <c r="C48" s="109"/>
      <c r="D48" s="110"/>
      <c r="E48" s="111"/>
      <c r="F48" s="112" t="s">
        <v>68</v>
      </c>
      <c r="G48" s="113" t="s">
        <v>69</v>
      </c>
      <c r="H48" s="113" t="s">
        <v>70</v>
      </c>
      <c r="I48" s="113" t="s">
        <v>71</v>
      </c>
      <c r="J48" s="114" t="s">
        <v>72</v>
      </c>
    </row>
    <row r="49" spans="1:10" ht="12.75">
      <c r="A49" s="115" t="s">
        <v>73</v>
      </c>
      <c r="B49" s="33"/>
      <c r="C49" s="33"/>
      <c r="D49" s="116" t="s">
        <v>74</v>
      </c>
      <c r="E49" s="117"/>
      <c r="F49" s="118">
        <f>IF(N(H38)+N(H39)&gt;0,(J28+2*F26/3-J27+0.75*C24*(J40*F24)^0.5)*J24*(1+J43)/2," ")</f>
        <v>10.377025910022637</v>
      </c>
      <c r="G49" s="119">
        <f>IF(NOT(B8=" "),1+0.7*H49*B8^0.5-I49," ")</f>
        <v>0.9016356332092127</v>
      </c>
      <c r="H49" s="120">
        <f>IF(NOT(B8=" "),(1-0.336*SQRT(B8)-I49)/2/SQRT(B8)," ")</f>
        <v>-0.02079460682482786</v>
      </c>
      <c r="I49" s="119">
        <f>IF(N(B8)&gt;0,0.62/B8^0.5*(1-0.54*C24*J40*F24/J28/(J27+H24*F26))," ")</f>
        <v>0.051467111050089484</v>
      </c>
      <c r="J49" s="121">
        <f>IF(F24=1,G49-4*H49," ")</f>
        <v>0.9848140605085242</v>
      </c>
    </row>
    <row r="50" spans="1:10" ht="13.5" thickBot="1">
      <c r="A50" s="122" t="s">
        <v>75</v>
      </c>
      <c r="B50" s="123"/>
      <c r="C50" s="123"/>
      <c r="D50" s="124" t="s">
        <v>76</v>
      </c>
      <c r="E50" s="123"/>
      <c r="F50" s="125">
        <f>(J28+2*F26/3-J27+0.75*C24*(0.8*J40)^0.5)*J24*(1+J43)/2</f>
        <v>9.991875971928291</v>
      </c>
      <c r="G50" s="126">
        <f>1+0.7*SQRT(C8)*H50-I50</f>
        <v>0.8686800445420955</v>
      </c>
      <c r="H50" s="126">
        <f>(1-0.336*SQRT(C8)-I50)/2/SQRT(C8)</f>
        <v>-0.022652517280522602</v>
      </c>
      <c r="I50" s="126">
        <f>0.62/C8^0.5*(1-0.432*C24*J40/J28/(J27+H24*F26))</f>
        <v>0.08120154893130359</v>
      </c>
      <c r="J50" s="127">
        <f>G50-4*H50</f>
        <v>0.9592901136641858</v>
      </c>
    </row>
    <row r="51" ht="13.5" thickTop="1">
      <c r="B51" s="33"/>
    </row>
    <row r="52" spans="1:10" ht="12.75">
      <c r="A52" s="9" t="s">
        <v>77</v>
      </c>
      <c r="C52" s="31" t="s">
        <v>4</v>
      </c>
      <c r="D52" s="128"/>
      <c r="E52" s="29"/>
      <c r="F52" s="1"/>
      <c r="G52" s="1"/>
      <c r="H52" s="1" t="s">
        <v>78</v>
      </c>
      <c r="I52" s="1"/>
      <c r="J52" s="129">
        <v>40436</v>
      </c>
    </row>
    <row r="53" spans="5:10" ht="12.75">
      <c r="E53" s="1"/>
      <c r="F53" s="1"/>
      <c r="G53" s="1"/>
      <c r="H53" s="1" t="s">
        <v>79</v>
      </c>
      <c r="I53" s="1"/>
      <c r="J53" s="130">
        <v>40801</v>
      </c>
    </row>
    <row r="54" spans="5:9" ht="12.75">
      <c r="E54" s="1"/>
      <c r="F54" s="1"/>
      <c r="G54" s="1"/>
      <c r="H54" s="1"/>
      <c r="I54" s="1"/>
    </row>
    <row r="55" spans="1:9" ht="12.75">
      <c r="A55" s="33" t="s">
        <v>80</v>
      </c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 t="s">
        <v>81</v>
      </c>
      <c r="G58" s="1"/>
      <c r="H58" s="1"/>
      <c r="I58" s="1"/>
    </row>
  </sheetData>
  <sheetProtection/>
  <printOptions/>
  <pageMargins left="0.75" right="0.75" top="1" bottom="1" header="0.5" footer="0.5"/>
  <pageSetup horizontalDpi="600" verticalDpi="6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D5" sqref="D5"/>
    </sheetView>
  </sheetViews>
  <sheetFormatPr defaultColWidth="9.00390625" defaultRowHeight="12.75"/>
  <sheetData>
    <row r="1" spans="1:14" ht="16.5" thickBot="1">
      <c r="A1" s="133" t="s">
        <v>22</v>
      </c>
      <c r="B1" s="97"/>
      <c r="D1" s="133" t="s">
        <v>26</v>
      </c>
      <c r="E1" s="97"/>
      <c r="G1" s="133" t="s">
        <v>17</v>
      </c>
      <c r="H1" s="97"/>
      <c r="I1" s="97"/>
      <c r="J1" s="133" t="s">
        <v>21</v>
      </c>
      <c r="K1" s="97"/>
      <c r="M1" s="133" t="s">
        <v>83</v>
      </c>
      <c r="N1" s="97"/>
    </row>
    <row r="2" spans="1:15" ht="13.5" thickTop="1">
      <c r="A2" t="s">
        <v>84</v>
      </c>
      <c r="D2" t="s">
        <v>85</v>
      </c>
      <c r="G2" s="5" t="s">
        <v>86</v>
      </c>
      <c r="H2" s="5"/>
      <c r="I2" s="5"/>
      <c r="J2" s="5" t="s">
        <v>87</v>
      </c>
      <c r="K2" s="5"/>
      <c r="L2" s="5"/>
      <c r="M2" s="5" t="s">
        <v>88</v>
      </c>
      <c r="N2" s="5"/>
      <c r="O2" s="5"/>
    </row>
    <row r="3" spans="1:15" ht="12.75">
      <c r="A3" t="s">
        <v>89</v>
      </c>
      <c r="D3" t="s">
        <v>90</v>
      </c>
      <c r="G3" s="5" t="s">
        <v>91</v>
      </c>
      <c r="H3" s="5"/>
      <c r="I3" s="5"/>
      <c r="J3" s="5" t="s">
        <v>92</v>
      </c>
      <c r="K3" s="5"/>
      <c r="L3" s="5"/>
      <c r="M3" s="5" t="s">
        <v>93</v>
      </c>
      <c r="N3" s="5"/>
      <c r="O3" s="5"/>
    </row>
    <row r="4" spans="1:15" ht="12.75">
      <c r="A4" s="32" t="s">
        <v>94</v>
      </c>
      <c r="D4" t="s">
        <v>95</v>
      </c>
      <c r="G4" s="5" t="s">
        <v>96</v>
      </c>
      <c r="H4" s="5"/>
      <c r="I4" s="5"/>
      <c r="J4" s="5" t="s">
        <v>97</v>
      </c>
      <c r="K4" s="5"/>
      <c r="L4" s="5"/>
      <c r="M4" s="5" t="s">
        <v>98</v>
      </c>
      <c r="N4" s="5"/>
      <c r="O4" s="5"/>
    </row>
    <row r="5" spans="1:15" ht="12.75">
      <c r="A5" t="s">
        <v>99</v>
      </c>
      <c r="D5" t="s">
        <v>100</v>
      </c>
      <c r="G5" s="5" t="s">
        <v>101</v>
      </c>
      <c r="H5" s="5"/>
      <c r="I5" s="5"/>
      <c r="J5" s="5" t="s">
        <v>102</v>
      </c>
      <c r="K5" s="5"/>
      <c r="L5" s="5"/>
      <c r="M5" s="5" t="s">
        <v>103</v>
      </c>
      <c r="N5" s="5"/>
      <c r="O5" s="5"/>
    </row>
    <row r="6" spans="1:15" ht="12.75">
      <c r="A6" t="s">
        <v>104</v>
      </c>
      <c r="D6" t="s">
        <v>105</v>
      </c>
      <c r="G6" s="5" t="s">
        <v>106</v>
      </c>
      <c r="H6" s="5"/>
      <c r="I6" s="5"/>
      <c r="J6" s="5" t="s">
        <v>107</v>
      </c>
      <c r="K6" s="5"/>
      <c r="L6" s="5"/>
      <c r="M6" s="5" t="s">
        <v>108</v>
      </c>
      <c r="N6" s="5"/>
      <c r="O6" s="5"/>
    </row>
    <row r="7" spans="1:15" ht="12.75">
      <c r="A7" t="s">
        <v>109</v>
      </c>
      <c r="D7" t="s">
        <v>110</v>
      </c>
      <c r="G7" s="5" t="s">
        <v>111</v>
      </c>
      <c r="H7" s="5"/>
      <c r="I7" s="5"/>
      <c r="J7" s="5" t="s">
        <v>112</v>
      </c>
      <c r="K7" s="5"/>
      <c r="L7" s="5"/>
      <c r="M7" s="5" t="s">
        <v>113</v>
      </c>
      <c r="N7" s="5"/>
      <c r="O7" s="5"/>
    </row>
    <row r="8" spans="1:15" ht="12.75">
      <c r="A8" t="s">
        <v>114</v>
      </c>
      <c r="D8" t="s">
        <v>115</v>
      </c>
      <c r="G8" s="5" t="s">
        <v>116</v>
      </c>
      <c r="H8" s="5"/>
      <c r="I8" s="5"/>
      <c r="J8" s="5" t="s">
        <v>117</v>
      </c>
      <c r="K8" s="5"/>
      <c r="L8" s="5"/>
      <c r="M8" s="5" t="s">
        <v>118</v>
      </c>
      <c r="N8" s="5"/>
      <c r="O8" s="5"/>
    </row>
    <row r="9" spans="1:15" ht="12.75">
      <c r="A9" t="s">
        <v>119</v>
      </c>
      <c r="D9" t="s">
        <v>120</v>
      </c>
      <c r="G9" s="5" t="s">
        <v>121</v>
      </c>
      <c r="H9" s="5"/>
      <c r="I9" s="5"/>
      <c r="J9" s="5" t="s">
        <v>122</v>
      </c>
      <c r="K9" s="5"/>
      <c r="L9" s="5"/>
      <c r="M9" s="5" t="s">
        <v>123</v>
      </c>
      <c r="N9" s="5"/>
      <c r="O9" s="5"/>
    </row>
    <row r="10" spans="1:15" ht="12.75">
      <c r="A10" t="s">
        <v>124</v>
      </c>
      <c r="E10" s="33"/>
      <c r="G10" s="5" t="s">
        <v>125</v>
      </c>
      <c r="H10" s="5"/>
      <c r="I10" s="5"/>
      <c r="J10" s="5" t="s">
        <v>126</v>
      </c>
      <c r="K10" s="5"/>
      <c r="L10" s="5"/>
      <c r="M10" s="5" t="s">
        <v>127</v>
      </c>
      <c r="N10" s="5"/>
      <c r="O10" s="5"/>
    </row>
    <row r="11" spans="1:15" ht="16.5" thickBot="1">
      <c r="A11" t="s">
        <v>128</v>
      </c>
      <c r="D11" s="133" t="s">
        <v>25</v>
      </c>
      <c r="E11" s="97"/>
      <c r="G11" s="5" t="s">
        <v>129</v>
      </c>
      <c r="H11" s="5"/>
      <c r="I11" s="5"/>
      <c r="J11" s="5" t="s">
        <v>130</v>
      </c>
      <c r="K11" s="5"/>
      <c r="L11" s="5"/>
      <c r="M11" s="5" t="s">
        <v>131</v>
      </c>
      <c r="N11" s="5"/>
      <c r="O11" s="5"/>
    </row>
    <row r="12" spans="1:15" ht="13.5" thickTop="1">
      <c r="A12" t="s">
        <v>132</v>
      </c>
      <c r="D12" t="s">
        <v>133</v>
      </c>
      <c r="G12" s="5" t="s">
        <v>134</v>
      </c>
      <c r="H12" s="5"/>
      <c r="I12" s="5"/>
      <c r="J12" s="5" t="s">
        <v>135</v>
      </c>
      <c r="K12" s="5"/>
      <c r="L12" s="5"/>
      <c r="M12" s="5" t="s">
        <v>136</v>
      </c>
      <c r="N12" s="5"/>
      <c r="O12" s="5"/>
    </row>
    <row r="13" spans="1:15" ht="12.75">
      <c r="A13" t="s">
        <v>137</v>
      </c>
      <c r="D13" t="s">
        <v>138</v>
      </c>
      <c r="G13" s="5" t="s">
        <v>139</v>
      </c>
      <c r="H13" s="5"/>
      <c r="I13" s="5"/>
      <c r="J13" s="5" t="s">
        <v>140</v>
      </c>
      <c r="K13" s="5"/>
      <c r="L13" s="5"/>
      <c r="M13" s="5" t="s">
        <v>141</v>
      </c>
      <c r="N13" s="5"/>
      <c r="O13" s="5"/>
    </row>
    <row r="14" spans="1:15" ht="12.75">
      <c r="A14" t="s">
        <v>142</v>
      </c>
      <c r="D14" t="s">
        <v>143</v>
      </c>
      <c r="G14" s="5" t="s">
        <v>144</v>
      </c>
      <c r="H14" s="5"/>
      <c r="I14" s="5"/>
      <c r="J14" s="5" t="s">
        <v>145</v>
      </c>
      <c r="K14" s="5"/>
      <c r="L14" s="5"/>
      <c r="M14" s="5" t="s">
        <v>146</v>
      </c>
      <c r="N14" s="5"/>
      <c r="O14" s="5"/>
    </row>
    <row r="15" spans="1:15" ht="12.75">
      <c r="A15" t="s">
        <v>147</v>
      </c>
      <c r="D15" t="s">
        <v>148</v>
      </c>
      <c r="G15" s="5" t="s">
        <v>149</v>
      </c>
      <c r="H15" s="5"/>
      <c r="I15" s="5"/>
      <c r="J15" s="5" t="s">
        <v>150</v>
      </c>
      <c r="K15" s="5"/>
      <c r="L15" s="5"/>
      <c r="M15" s="5" t="s">
        <v>151</v>
      </c>
      <c r="N15" s="5"/>
      <c r="O15" s="5"/>
    </row>
    <row r="16" spans="1:15" ht="12.75">
      <c r="A16" t="s">
        <v>152</v>
      </c>
      <c r="D16" t="s">
        <v>153</v>
      </c>
      <c r="G16" s="31" t="s">
        <v>154</v>
      </c>
      <c r="H16" s="5"/>
      <c r="I16" s="5"/>
      <c r="J16" s="5" t="s">
        <v>155</v>
      </c>
      <c r="K16" s="5"/>
      <c r="L16" s="5"/>
      <c r="M16" s="5" t="s">
        <v>156</v>
      </c>
      <c r="N16" s="5"/>
      <c r="O16" s="5"/>
    </row>
    <row r="17" spans="1:15" ht="12.75">
      <c r="A17" t="s">
        <v>157</v>
      </c>
      <c r="D17" t="s">
        <v>158</v>
      </c>
      <c r="G17" s="5" t="s">
        <v>159</v>
      </c>
      <c r="H17" s="5"/>
      <c r="I17" s="5"/>
      <c r="J17" s="5" t="s">
        <v>160</v>
      </c>
      <c r="K17" s="5"/>
      <c r="L17" s="5"/>
      <c r="M17" s="5" t="s">
        <v>161</v>
      </c>
      <c r="N17" s="5"/>
      <c r="O17" s="5"/>
    </row>
    <row r="18" spans="1:15" ht="12.75">
      <c r="A18" t="s">
        <v>162</v>
      </c>
      <c r="D18" t="s">
        <v>163</v>
      </c>
      <c r="G18" s="5" t="s">
        <v>164</v>
      </c>
      <c r="H18" s="5"/>
      <c r="I18" s="5"/>
      <c r="J18" s="5"/>
      <c r="K18" s="5"/>
      <c r="L18" s="5"/>
      <c r="M18" s="13" t="s">
        <v>165</v>
      </c>
      <c r="N18" s="5"/>
      <c r="O18" s="5"/>
    </row>
    <row r="19" spans="1:15" ht="12.75">
      <c r="A19" t="s">
        <v>166</v>
      </c>
      <c r="D19" t="s">
        <v>167</v>
      </c>
      <c r="G19" s="5" t="s">
        <v>168</v>
      </c>
      <c r="H19" s="5"/>
      <c r="I19" s="5"/>
      <c r="J19" s="5"/>
      <c r="K19" s="5"/>
      <c r="L19" s="5"/>
      <c r="M19" s="13" t="s">
        <v>169</v>
      </c>
      <c r="N19" s="5"/>
      <c r="O19" s="5"/>
    </row>
    <row r="20" spans="1:15" ht="12.75">
      <c r="A20" t="s">
        <v>170</v>
      </c>
      <c r="D20" t="s">
        <v>171</v>
      </c>
      <c r="G20" s="5" t="s">
        <v>172</v>
      </c>
      <c r="H20" s="5"/>
      <c r="I20" s="5"/>
      <c r="J20" s="5"/>
      <c r="K20" s="5"/>
      <c r="L20" s="5"/>
      <c r="M20" s="13" t="s">
        <v>173</v>
      </c>
      <c r="N20" s="5"/>
      <c r="O20" s="5"/>
    </row>
    <row r="21" spans="1:15" ht="12.75">
      <c r="A21" t="s">
        <v>174</v>
      </c>
      <c r="D21" t="s">
        <v>175</v>
      </c>
      <c r="G21" s="5" t="s">
        <v>176</v>
      </c>
      <c r="H21" s="5"/>
      <c r="I21" s="5"/>
      <c r="J21" s="5"/>
      <c r="K21" s="5"/>
      <c r="L21" s="5"/>
      <c r="M21" s="5" t="s">
        <v>177</v>
      </c>
      <c r="N21" s="5"/>
      <c r="O21" s="5"/>
    </row>
    <row r="22" spans="1:15" ht="12.75">
      <c r="A22" t="s">
        <v>178</v>
      </c>
      <c r="D22" t="s">
        <v>179</v>
      </c>
      <c r="G22" s="5" t="s">
        <v>180</v>
      </c>
      <c r="H22" s="5"/>
      <c r="I22" s="5"/>
      <c r="J22" s="5"/>
      <c r="K22" s="5"/>
      <c r="L22" s="5"/>
      <c r="M22" s="5" t="s">
        <v>181</v>
      </c>
      <c r="N22" s="5"/>
      <c r="O22" s="5"/>
    </row>
    <row r="23" spans="1:15" ht="12.75">
      <c r="A23" t="s">
        <v>182</v>
      </c>
      <c r="D23" t="s">
        <v>183</v>
      </c>
      <c r="G23" s="5" t="s">
        <v>184</v>
      </c>
      <c r="H23" s="5"/>
      <c r="I23" s="5"/>
      <c r="J23" s="5"/>
      <c r="K23" s="5"/>
      <c r="L23" s="5"/>
      <c r="M23" s="13" t="s">
        <v>185</v>
      </c>
      <c r="N23" s="5"/>
      <c r="O23" s="5"/>
    </row>
    <row r="24" spans="1:15" ht="12.75">
      <c r="A24" t="s">
        <v>186</v>
      </c>
      <c r="G24" s="5" t="s">
        <v>187</v>
      </c>
      <c r="H24" s="5"/>
      <c r="I24" s="5"/>
      <c r="J24" s="5"/>
      <c r="K24" s="5"/>
      <c r="L24" s="5"/>
      <c r="M24" s="13" t="s">
        <v>188</v>
      </c>
      <c r="N24" s="5"/>
      <c r="O24" s="5"/>
    </row>
    <row r="25" spans="7:15" ht="12.75">
      <c r="G25" s="5"/>
      <c r="H25" s="5"/>
      <c r="I25" s="5"/>
      <c r="J25" s="5"/>
      <c r="K25" s="5"/>
      <c r="L25" s="5"/>
      <c r="M25" s="5"/>
      <c r="N25" s="5"/>
      <c r="O25" s="5"/>
    </row>
    <row r="26" spans="1:15" ht="16.5" thickBot="1">
      <c r="A26" s="133" t="s">
        <v>24</v>
      </c>
      <c r="B26" s="97"/>
      <c r="G26" s="5"/>
      <c r="H26" s="5"/>
      <c r="I26" s="5"/>
      <c r="J26" s="5"/>
      <c r="K26" s="5"/>
      <c r="L26" s="5"/>
      <c r="M26" s="5"/>
      <c r="N26" s="5"/>
      <c r="O26" s="5"/>
    </row>
    <row r="27" spans="1:15" ht="13.5" thickTop="1">
      <c r="A27" t="s">
        <v>189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t="s">
        <v>190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t="s">
        <v>191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t="s">
        <v>192</v>
      </c>
      <c r="G30" s="5"/>
      <c r="H30" s="5"/>
      <c r="I30" s="5"/>
      <c r="J30" s="5"/>
      <c r="K30" s="5"/>
      <c r="L30" s="5"/>
      <c r="M30" s="5"/>
      <c r="N30" s="5"/>
      <c r="O30" s="5"/>
    </row>
    <row r="32" spans="1:5" ht="15.75">
      <c r="A32" s="134"/>
      <c r="B32" s="33"/>
      <c r="D32" s="134"/>
      <c r="E32" s="33"/>
    </row>
    <row r="33" spans="7:14" ht="15.75">
      <c r="G33" s="134"/>
      <c r="H33" s="33"/>
      <c r="I33" s="33"/>
      <c r="J33" s="134"/>
      <c r="K33" s="33"/>
      <c r="M33" s="134"/>
      <c r="N33" s="33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М</cp:lastModifiedBy>
  <cp:lastPrinted>2011-09-15T10:36:33Z</cp:lastPrinted>
  <dcterms:created xsi:type="dcterms:W3CDTF">2009-06-16T17:38:15Z</dcterms:created>
  <dcterms:modified xsi:type="dcterms:W3CDTF">2012-02-23T04:42:31Z</dcterms:modified>
  <cp:category/>
  <cp:version/>
  <cp:contentType/>
  <cp:contentStatus/>
</cp:coreProperties>
</file>